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'Planner'!$A$1:$L$65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<sst xmlns="http://schemas.openxmlformats.org/spreadsheetml/2006/main" count="804" uniqueCount="712">
  <si>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</si>
  <si>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</si>
  <si>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</si>
  <si>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</si>
  <si>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</si>
  <si>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</si>
  <si>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</si>
  <si>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</si>
  <si>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</si>
  <si>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</si>
  <si>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</si>
  <si>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</si>
  <si>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</si>
  <si>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</si>
  <si>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</si>
  <si>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</si>
  <si>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</si>
  <si>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</si>
  <si>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</si>
  <si>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</si>
  <si>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</si>
  <si>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</si>
  <si>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</si>
  <si>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</si>
  <si>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</si>
  <si>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</si>
  <si>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</si>
  <si>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</si>
  <si>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</si>
  <si>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</si>
  <si>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</si>
  <si>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</si>
  <si>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</si>
  <si>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</si>
  <si>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</si>
  <si>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</si>
  <si>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</si>
  <si>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</si>
  <si>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</si>
  <si>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</si>
  <si>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</si>
  <si>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</si>
  <si>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</si>
  <si>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</si>
  <si>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</si>
  <si>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</si>
  <si>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</si>
  <si>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</si>
  <si>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</si>
  <si>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</si>
  <si>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</si>
  <si>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</si>
  <si>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</si>
  <si>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</si>
  <si>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</si>
  <si>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</si>
  <si>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</si>
  <si>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</si>
  <si>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</si>
  <si>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</si>
  <si>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</si>
  <si>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</si>
  <si>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</si>
  <si>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</si>
  <si>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</si>
  <si>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</si>
  <si>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</si>
  <si>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</si>
  <si>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</si>
  <si>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</si>
  <si>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</si>
  <si>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</si>
  <si>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</si>
  <si>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</si>
  <si>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</si>
  <si>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</si>
  <si>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</si>
  <si>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</si>
  <si>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</si>
  <si>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</si>
  <si>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</si>
  <si>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</si>
  <si>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</si>
  <si>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</si>
  <si>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</si>
  <si>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</si>
  <si>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</si>
  <si>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</si>
  <si>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</si>
  <si>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</si>
  <si>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</si>
  <si>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</si>
  <si>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</si>
  <si>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</si>
  <si>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</si>
  <si>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</si>
  <si>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</si>
  <si>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</si>
  <si>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</si>
  <si>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</si>
  <si>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</si>
  <si>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</si>
  <si>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</si>
  <si>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</si>
  <si>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</si>
  <si>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</si>
  <si>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</si>
  <si>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</si>
  <si>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</si>
  <si>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</si>
  <si>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</si>
  <si>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</si>
  <si>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</si>
  <si>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</si>
  <si>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</si>
  <si>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</si>
  <si>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</si>
  <si>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</si>
  <si>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</si>
  <si>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</si>
  <si>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</si>
  <si>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</si>
  <si>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</si>
  <si>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</si>
  <si>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</si>
  <si>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</si>
  <si>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</si>
  <si>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</si>
  <si>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</si>
  <si>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</si>
  <si>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</si>
  <si>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</si>
  <si>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</si>
  <si>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</si>
  <si>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</si>
  <si>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</si>
  <si>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</si>
  <si>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</si>
  <si>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</si>
  <si>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</si>
  <si>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</si>
  <si>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</si>
  <si>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</si>
  <si>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</si>
  <si>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</si>
  <si>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</si>
  <si>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</si>
  <si>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</si>
  <si>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</si>
  <si>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</si>
  <si>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</si>
  <si>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</si>
  <si>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</si>
  <si>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</si>
  <si>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</si>
  <si>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</si>
  <si>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</si>
  <si>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</si>
  <si>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</si>
  <si>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</si>
  <si>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</si>
  <si>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</si>
  <si>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</si>
  <si>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</si>
  <si>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</si>
  <si>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</si>
  <si>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</si>
  <si>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</si>
  <si>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</si>
  <si>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</si>
  <si>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</si>
  <si>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</si>
  <si>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</si>
  <si>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</si>
  <si>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</si>
  <si>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</si>
  <si>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</si>
  <si>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</si>
  <si>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</si>
  <si>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</si>
  <si>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</si>
  <si>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</si>
  <si>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</si>
  <si>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</si>
  <si>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</si>
  <si>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</si>
  <si>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</si>
  <si>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</si>
  <si>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</si>
  <si>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</si>
  <si>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</si>
  <si>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</si>
  <si>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</si>
  <si>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</si>
  <si>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</si>
  <si>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</si>
  <si>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</si>
  <si>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</si>
  <si>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</si>
  <si>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</si>
  <si>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</si>
  <si>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</si>
  <si>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</si>
  <si>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</si>
  <si>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</si>
  <si>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</si>
  <si>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</si>
  <si>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</si>
  <si>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</si>
  <si>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</si>
  <si>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</si>
  <si>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</si>
  <si>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</si>
  <si>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</si>
  <si>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</si>
  <si>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</si>
  <si>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</si>
  <si>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</si>
  <si>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</si>
  <si>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</si>
  <si>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</si>
  <si>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</si>
  <si>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</si>
  <si>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</si>
  <si>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</si>
  <si>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</si>
  <si>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</si>
  <si>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</si>
  <si>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</si>
  <si>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</si>
  <si>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</si>
  <si>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</si>
  <si>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</si>
  <si>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</si>
  <si>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</si>
  <si>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</si>
  <si>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</si>
  <si>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</si>
  <si>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</si>
  <si>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</si>
  <si>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</si>
  <si>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</si>
  <si>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</si>
  <si>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</si>
  <si>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</si>
  <si>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</si>
  <si>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</si>
  <si>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</si>
  <si>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</si>
  <si>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</si>
  <si>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</si>
  <si>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</si>
  <si>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</si>
  <si>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</si>
  <si>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</si>
  <si>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</si>
  <si>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</si>
  <si>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</si>
  <si>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</si>
  <si>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</si>
  <si>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</si>
  <si>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</si>
  <si>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</si>
  <si>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</si>
  <si>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</si>
  <si>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</si>
  <si>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</si>
  <si>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</si>
  <si>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</si>
  <si>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</si>
  <si>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</si>
  <si>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</si>
  <si>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</si>
  <si>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</si>
  <si>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</si>
  <si>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</si>
  <si>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</si>
  <si>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</si>
  <si>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</si>
  <si>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</si>
  <si>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</si>
  <si>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</si>
  <si>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</si>
  <si>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</si>
  <si>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</si>
  <si>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</si>
  <si>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</si>
  <si>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</si>
  <si>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</si>
  <si>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</si>
  <si>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</si>
  <si>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</si>
  <si>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</si>
  <si>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</si>
  <si>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</si>
  <si>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</si>
  <si>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</si>
  <si>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</si>
  <si>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</si>
  <si>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</si>
  <si>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</si>
  <si>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</si>
  <si>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</si>
  <si>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</si>
  <si>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</si>
  <si>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</si>
  <si>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</si>
  <si>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</si>
  <si>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</si>
  <si>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</si>
  <si>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</si>
  <si>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</si>
  <si>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</si>
  <si>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</si>
  <si>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</si>
  <si>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</si>
  <si>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</si>
  <si>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</si>
  <si>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</si>
  <si>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</si>
  <si>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</si>
  <si>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</si>
  <si>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</si>
  <si>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</si>
  <si>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</si>
  <si>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</si>
  <si>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</si>
  <si>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</si>
  <si>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</si>
  <si>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</si>
  <si>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</si>
  <si>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</si>
  <si>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</si>
  <si>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</si>
  <si>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</si>
  <si>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</si>
  <si>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</si>
  <si>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</si>
  <si>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</si>
  <si>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</si>
  <si>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</si>
  <si>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</si>
  <si>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</si>
  <si>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</si>
  <si>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</si>
  <si>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</si>
  <si>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</si>
  <si>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</si>
  <si>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</si>
  <si>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</si>
  <si>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</si>
  <si>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</si>
  <si>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</si>
  <si>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</si>
  <si>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</si>
  <si>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</si>
  <si>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</si>
  <si>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</si>
  <si>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</si>
  <si>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</si>
  <si>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</si>
  <si>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</si>
  <si>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</si>
  <si>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</si>
  <si>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</si>
  <si>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</si>
  <si>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</si>
  <si>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</si>
  <si>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</si>
  <si>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</si>
  <si>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</si>
  <si>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</si>
  <si>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</si>
  <si>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</si>
  <si>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</si>
  <si>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</si>
  <si>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</si>
  <si>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</si>
  <si>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</si>
  <si>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</si>
  <si>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</si>
  <si>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</si>
  <si>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</si>
  <si>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</si>
  <si>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</si>
  <si>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</si>
  <si>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</si>
  <si>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</si>
  <si>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</si>
  <si>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</si>
  <si>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</si>
  <si>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</si>
  <si>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</si>
  <si>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</si>
  <si>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</si>
  <si>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</si>
  <si>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</si>
  <si>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</si>
  <si>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</si>
  <si>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</si>
  <si>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</si>
  <si>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</si>
  <si>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</si>
  <si>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</si>
  <si>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</si>
  <si>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</si>
  <si>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</si>
  <si>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</si>
  <si>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</si>
  <si>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</si>
  <si>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</si>
  <si>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</si>
  <si>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</si>
  <si>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</si>
  <si>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</si>
  <si>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</si>
  <si>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</si>
  <si>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</si>
  <si>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</si>
  <si>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</si>
  <si>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</si>
  <si>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</si>
  <si>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</si>
  <si>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</si>
  <si>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</si>
  <si>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</si>
  <si>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</si>
  <si>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</si>
  <si>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</si>
  <si>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</si>
  <si>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</si>
  <si>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</si>
  <si>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</si>
  <si>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</si>
  <si>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</si>
  <si>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</si>
  <si>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</si>
  <si>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</si>
  <si>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</si>
  <si>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</si>
  <si>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</si>
  <si>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</si>
  <si>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</si>
  <si>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</si>
  <si>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</si>
  <si>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</si>
  <si>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</si>
  <si>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</si>
  <si>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</si>
  <si>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</si>
  <si>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</si>
  <si>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</si>
  <si>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</si>
  <si>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</si>
  <si>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</si>
  <si>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</si>
  <si>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</si>
  <si>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</si>
  <si>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</si>
  <si>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</si>
  <si>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</si>
  <si>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</si>
  <si>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</si>
  <si>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</si>
  <si>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</si>
  <si>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</si>
  <si>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</si>
  <si>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</si>
  <si>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</si>
  <si>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</si>
  <si>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</si>
  <si>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</si>
  <si>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</si>
  <si>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</si>
  <si>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</si>
  <si>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</si>
  <si>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</si>
  <si>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</si>
  <si>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</si>
  <si>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</si>
  <si>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</si>
  <si>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</si>
  <si>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</si>
  <si>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</si>
  <si>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</si>
  <si>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</si>
  <si>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</si>
  <si>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</si>
  <si>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</si>
  <si>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</si>
  <si>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</si>
  <si>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</si>
  <si>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</si>
  <si>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</si>
  <si>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</si>
  <si>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</si>
  <si>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</si>
  <si>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</si>
  <si>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</si>
  <si>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</si>
  <si>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</si>
  <si>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</si>
  <si>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</si>
  <si>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</si>
  <si>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</si>
  <si>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</si>
  <si>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</si>
  <si>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</si>
  <si>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</si>
  <si>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</si>
  <si>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</si>
  <si>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</si>
  <si>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</si>
  <si>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</si>
  <si>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</si>
  <si>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</si>
  <si>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</si>
  <si>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</si>
  <si>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</si>
  <si>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</si>
  <si>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</si>
  <si>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</si>
  <si>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</si>
  <si>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</si>
  <si>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</si>
  <si>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</si>
  <si>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</si>
  <si>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</si>
  <si>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</si>
  <si>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</si>
  <si>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</si>
  <si>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</si>
  <si>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</si>
  <si>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</si>
  <si>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</si>
  <si>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</si>
  <si>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</si>
  <si>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</si>
  <si>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</si>
  <si>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</si>
  <si>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</si>
  <si>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</si>
  <si>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</si>
  <si>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</si>
  <si>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</si>
  <si>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</si>
  <si>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</si>
  <si>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</si>
  <si>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</si>
  <si>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</si>
  <si>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</si>
  <si>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</si>
  <si>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</si>
  <si>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</si>
  <si>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</si>
  <si>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</si>
  <si>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</si>
  <si>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</si>
  <si>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</si>
  <si>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</si>
  <si>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</si>
  <si>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</si>
  <si>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</si>
  <si>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</si>
  <si>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</si>
  <si>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</si>
  <si>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</si>
  <si>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</si>
  <si>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</si>
  <si>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</si>
  <si>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</si>
  <si>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</si>
  <si>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</si>
  <si>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</si>
  <si>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</si>
  <si>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</si>
  <si>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</si>
  <si>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</si>
  <si>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</si>
  <si>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</si>
  <si>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</si>
  <si>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</si>
  <si>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</si>
  <si>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</si>
  <si>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</si>
  <si>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</si>
  <si>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</si>
  <si>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</si>
  <si>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</si>
  <si>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</si>
  <si>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</si>
  <si>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</si>
  <si>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</si>
  <si>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</si>
  <si>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</si>
  <si>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</si>
  <si>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</si>
  <si>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</si>
  <si>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</si>
  <si>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</si>
  <si>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</si>
  <si>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</si>
  <si>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</si>
  <si>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</si>
  <si>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</si>
  <si>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</si>
  <si>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</si>
  <si>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</si>
  <si>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</si>
  <si>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</si>
  <si>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</si>
  <si>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</si>
  <si>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</si>
  <si>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</si>
  <si>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</si>
  <si>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</si>
  <si>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</si>
  <si>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</si>
  <si>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</si>
  <si>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</si>
  <si>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</si>
  <si>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</si>
  <si>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</si>
  <si>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</si>
  <si>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</si>
  <si>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</si>
  <si>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</si>
  <si>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</si>
  <si>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</si>
  <si>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</si>
  <si>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</si>
  <si>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</si>
  <si>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</si>
  <si>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</si>
  <si>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</si>
  <si>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</si>
  <si>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</si>
  <si>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</si>
  <si>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</si>
  <si>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</si>
  <si>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</si>
  <si>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</si>
  <si>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</si>
  <si>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</si>
  <si>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</si>
  <si>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</si>
  <si>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</si>
  <si>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</si>
  <si>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</si>
  <si>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</si>
  <si>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</si>
  <si>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</si>
  <si>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</si>
  <si>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</si>
  <si>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</si>
  <si>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</si>
  <si>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</si>
  <si>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</si>
  <si>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</si>
  <si>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</si>
  <si>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</si>
  <si>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</si>
  <si>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</si>
  <si>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</si>
  <si>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</si>
  <si>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</si>
  <si>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</si>
  <si>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</si>
  <si>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</si>
  <si>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</si>
  <si>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</si>
  <si>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</si>
  <si>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</si>
  <si>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</si>
  <si>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</si>
  <si>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</si>
  <si>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</si>
  <si>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</si>
  <si>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</si>
  <si>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</si>
  <si>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</si>
  <si>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</si>
  <si>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</si>
  <si>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</si>
  <si>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</si>
  <si>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</si>
  <si>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</si>
  <si>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</si>
  <si>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</si>
  <si>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</si>
  <si>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</si>
  <si>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</si>
  <si>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</si>
  <si>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</si>
  <si>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</si>
  <si>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</si>
  <si>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</si>
  <si>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</si>
  <si>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</si>
  <si>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</si>
  <si>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</si>
  <si>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</si>
  <si>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</si>
  <si>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</si>
  <si>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</si>
  <si>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</si>
  <si>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</si>
  <si>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</si>
  <si>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REFRAC</t>
  </si>
  <si>
    <t>N</t>
  </si>
  <si>
    <t>Recept 36</t>
  </si>
  <si>
    <t>Tripel v3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</si>
</sst>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A2" sqref="A2:B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711</v>
      </c>
      <c r="B1" s="512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499">
        <v>41649</v>
      </c>
      <c r="L1" s="500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Fermentis T-58 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710</v>
      </c>
      <c r="B2" s="512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499"/>
      <c r="L2" s="500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7.580818185841501</v>
      </c>
      <c r="AA2" s="428"/>
      <c r="AB2" s="519" t="str">
        <f>G3</f>
        <v>Fruitig, kruidig, goede hergister</v>
      </c>
      <c r="AC2" s="51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20" t="s">
        <v>231</v>
      </c>
      <c r="E3" s="520"/>
      <c r="F3" s="520"/>
      <c r="G3" s="501" t="str">
        <f>VLOOKUP(HoofdGist,'Info-Tabellen'!$X:$AB,5,0)</f>
        <v>Fruitig, kruidig, goede hergister</v>
      </c>
      <c r="H3" s="502"/>
      <c r="I3" s="502"/>
      <c r="J3" s="502"/>
      <c r="K3" s="502"/>
      <c r="L3" s="502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80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1.0182449584177844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>
        <f>K52</f>
        <v>0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709</v>
      </c>
      <c r="F5" s="22"/>
      <c r="G5" s="19" t="s">
        <v>593</v>
      </c>
      <c r="H5" s="20">
        <v>13.4</v>
      </c>
      <c r="I5" s="358">
        <f>VLOOKUP(HoofdGist,'Info-Tabellen'!$X:$AB,2,0)</f>
        <v>70</v>
      </c>
      <c r="J5" s="359">
        <f>SUM($D$8:$D$18)</f>
        <v>4.5</v>
      </c>
      <c r="K5" s="283">
        <f>IF(Eiwitrust="J",10,0)</f>
        <v>0</v>
      </c>
      <c r="L5" s="360">
        <f>(totplato-VSPrestextract)/(2.0665-0.010665*(totplato))</f>
        <v>6.419484699582233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238</v>
      </c>
      <c r="AA5" s="428"/>
      <c r="AB5" s="519" t="e">
        <f>VLOOKUP(bottelgist,'Info-Tabellen'!$X:$AB,5,0)</f>
        <v>#N/A</v>
      </c>
      <c r="AC5" s="51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13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4.16966361238807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16.230374942989968</v>
      </c>
      <c r="K7" s="47">
        <f>IF(ISNUMBER($J$7),(0.0000152482628*J7*J7+0.0038422807854*J7+1.0000602058824)*1000,"")</f>
        <v>1066.438638373203</v>
      </c>
      <c r="L7" s="306">
        <f>IF(ISNUMBER($J$7),0.0000005*R7*R7*R7-0.00042273*R7*R7+0.28198838*R7-3.97853928,"")</f>
        <v>16.577932871060803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82.00079691992309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4.5</v>
      </c>
      <c r="E8" s="32">
        <f>IF(Gewenste_liters=0,"0",IF(D8=0,"  ",(B8*D8/(Gewenste_liters+hopverlies))*effic))</f>
        <v>16.230374942989968</v>
      </c>
      <c r="F8" s="33">
        <f aca="true" t="shared" si="0" ref="F8:F18">IF(Gewenste_liters=0,"0",IF(D8=0,"  ",1.8*(Q8)^0.69))</f>
        <v>5.95400151579722</v>
      </c>
      <c r="G8" s="276">
        <f aca="true" t="shared" si="1" ref="G8:G16">IF(D8="","  ",(D8*100/Totaalkg))</f>
        <v>90</v>
      </c>
      <c r="H8" s="277">
        <f aca="true" t="shared" si="2" ref="H8:H16">IF(E8="  ","  ",(E8*100/totplato))</f>
        <v>84.38652713426416</v>
      </c>
      <c r="I8" s="298">
        <f aca="true" t="shared" si="3" ref="I8:I23">IF(O8=0,"",E8-(E8*O8/100))</f>
        <v>4.857308573847545</v>
      </c>
      <c r="J8" s="513" t="s">
        <v>621</v>
      </c>
      <c r="K8" s="514"/>
      <c r="L8" s="514"/>
      <c r="M8" s="23"/>
      <c r="N8" s="410">
        <f>IF(D8=0,0,VLOOKUP(A8,'Info-Tabellen'!$H:$K,4,0))</f>
        <v>100</v>
      </c>
      <c r="O8" s="415">
        <f>IF(N8=0,0,(SVGopmout*N8/100)-ATNfactor-Aftrokmaische)</f>
        <v>70.07272727272726</v>
      </c>
      <c r="P8" s="379">
        <f>IF(C8=0,0,C8*0.3748+0.6)</f>
        <v>1.7244000000000002</v>
      </c>
      <c r="Q8" s="379">
        <f>C8*E8/8.6</f>
        <v>5.661758701043013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233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15"/>
      <c r="K9" s="516"/>
      <c r="L9" s="516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3.002997366746684</v>
      </c>
      <c r="K10" s="47">
        <f>IF(ISNUMBER($J$7),(0.0000152482628*J10*J10+0.0038422807854*J10+1.0000602058824)*1000,"")</f>
        <v>1011.7360736932663</v>
      </c>
      <c r="L10" s="49">
        <f>IF(ISNUMBER($J$10),$J$10,"")</f>
        <v>3.002997366746684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22</v>
      </c>
      <c r="AA11" s="428"/>
      <c r="AB11" s="496" t="str">
        <f>VLOOKUP(hop1,'Info-Tabellen'!$R:$V,3,0)</f>
        <v>Universele hop, gebruikt als bitterhop. Wordt in donkere bieren gebruikt, De hopbellen zijn van nature wat bruiner.</v>
      </c>
      <c r="AC11" s="496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19.23337230973665</v>
      </c>
      <c r="K12" s="47">
        <f>IF(ISNUMBER($J$7),(0.0000152482628*J12*J12+0.0038422807854*J12+1.0000602058824)*1000,"")</f>
        <v>1079.6008999256621</v>
      </c>
      <c r="L12" s="49">
        <f>IF(ISNUMBER($J$12),$L$7+$L$10,"")</f>
        <v>19.580930237807486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6"/>
      <c r="AC12" s="496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4.647098758175277</v>
      </c>
      <c r="K14" s="47">
        <f>voorsp_eindSG</f>
        <v>1018.2449584177843</v>
      </c>
      <c r="L14" s="49">
        <f>J14*1.03</f>
        <v>4.786511720920536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135</v>
      </c>
      <c r="AA14" s="428"/>
      <c r="AB14" s="42" t="str">
        <f>hop2</f>
        <v>Fuggles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4.857308573847545</v>
      </c>
      <c r="K15" s="434" t="s">
        <v>679</v>
      </c>
      <c r="L15" s="436">
        <f>SUM(I19:I23)</f>
        <v>-0.21020981567226782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6" t="str">
        <f>VLOOKUP(hop2,'Info-Tabellen'!$R:$V,3,0)</f>
        <v>Mild en aangenaam, gronderig, fruitig. Typisch Engelse hopsmaak. Geeft bier een rond en vol karakter.</v>
      </c>
      <c r="AC15" s="496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7" t="s">
        <v>78</v>
      </c>
      <c r="K16" s="518"/>
      <c r="L16" s="518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6"/>
      <c r="AC16" s="496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1.0685206838742585</v>
      </c>
      <c r="K17" s="308" t="s">
        <v>625</v>
      </c>
      <c r="L17" s="206">
        <f>(INT(160*Starter/10))*10</f>
        <v>170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5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v>0.5</v>
      </c>
      <c r="E19" s="53">
        <f>IF(Gewenste_liters=0,"0",IF(D19=0,"  ",(B19*D19/(Gewenste_liters+hopverlies))))</f>
        <v>3.002997366746684</v>
      </c>
      <c r="F19" s="54">
        <f>IF(Gewenste_liters=0,"0",IF(D19=0,"  ",B19*D19/100/Gewenste_liters*C19))</f>
        <v>0.00015000337761527253</v>
      </c>
      <c r="G19" s="55">
        <f t="shared" si="8"/>
        <v>10</v>
      </c>
      <c r="H19" s="55">
        <f t="shared" si="9"/>
        <v>15.613472865735847</v>
      </c>
      <c r="I19" s="300">
        <f t="shared" si="3"/>
        <v>-0.21020981567226782</v>
      </c>
      <c r="J19" s="314" t="s">
        <v>622</v>
      </c>
      <c r="K19" s="208">
        <f>Starter*1.05</f>
        <v>1.1219467180679714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6">
        <f>VLOOKUP(hop3,'Info-Tabellen'!$R:$V,3,0)</f>
        <v>0</v>
      </c>
      <c r="AC19" s="496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7" t="s">
        <v>624</v>
      </c>
      <c r="K20" s="498"/>
      <c r="L20" s="209">
        <f>Gewenste_liters/21*totplato</f>
        <v>13.738123078383323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6"/>
      <c r="AC20" s="496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19.69390791316089</v>
      </c>
      <c r="L22" s="87">
        <f>$K$22*1.04</f>
        <v>20.481664229687325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6">
        <f>VLOOKUP(hop4,'Info-Tabellen'!$R:$V,3,0)</f>
        <v>0</v>
      </c>
      <c r="AC23" s="496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7.2842970162975735</v>
      </c>
      <c r="K24" s="318">
        <f>IF($L$10=0,1.035,$L$12/$J$12)</f>
        <v>1.018070566225918</v>
      </c>
      <c r="L24" s="386">
        <f>IF((Gewenste_liters+(1.7*moutkilos)*1.2)&lt;mashwater,mashwater+verkookwater,($K$22*1.18)+(moutkilos*0.75))</f>
        <v>26.613811337529846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6"/>
      <c r="AC24" s="496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5</v>
      </c>
      <c r="E25" s="71">
        <f>SUM(E8:E24)</f>
        <v>19.23337230973665</v>
      </c>
      <c r="F25" s="444">
        <f>SUM(F8:F24)</f>
        <v>5.954151519174835</v>
      </c>
      <c r="G25" s="393" t="s">
        <v>666</v>
      </c>
      <c r="H25" s="282"/>
      <c r="I25" s="345">
        <f>SUM(I8:I23)</f>
        <v>4.647098758175277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700</v>
      </c>
      <c r="E26" s="395">
        <f>StamwortSG</f>
        <v>1079.6008999256621</v>
      </c>
      <c r="F26" s="444">
        <f>IF(kleur=0,0,IF(kleur&lt;2,kleur,kleur+(1.22*Kooktijd/60)))</f>
        <v>7.580818185841501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1018.2449584177843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B27" s="367">
        <f>mashwater+E33</f>
        <v>26.613811337529846</v>
      </c>
      <c r="G27" s="181" t="s">
        <v>701</v>
      </c>
      <c r="H27" s="343">
        <f>IF((totplato-VSPrestextract)/(2.0665-0.010665*totplato)=0,0,voorsp_eindSG/1000*VSPalcogewicht/0.794/100)</f>
        <v>0.08232503691422814</v>
      </c>
      <c r="I27" s="347" t="s">
        <v>628</v>
      </c>
      <c r="J27" s="329"/>
      <c r="K27" s="134" t="s">
        <v>633</v>
      </c>
      <c r="L27" s="387">
        <f>Gewenste_liters*(1+VSPalcvol/4)</f>
        <v>15.308718888428356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6">
        <f>VLOOKUP(hop5,'Info-Tabellen'!$R:$V,3,0)</f>
        <v>0</v>
      </c>
      <c r="AC27" s="496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20.655</v>
      </c>
      <c r="C28" s="77" t="s">
        <v>23</v>
      </c>
      <c r="D28" s="334">
        <f>IF(moutkilos=0,55,IF(Aardbier=1,($B$30+tempverlies)*ketelinvloed/100,($B$29+tempverlies)*ketelinvloed/100))</f>
        <v>66.83381529432613</v>
      </c>
      <c r="E28" s="494" t="s">
        <v>681</v>
      </c>
      <c r="F28" s="495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6"/>
      <c r="AC28" s="496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530"/>
      <c r="H29" s="531"/>
      <c r="I29" s="532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1"/>
      <c r="F30" s="442"/>
      <c r="G30" s="533"/>
      <c r="H30" s="531"/>
      <c r="I30" s="532"/>
      <c r="J30" s="332" t="s">
        <v>635</v>
      </c>
      <c r="K30" s="134"/>
      <c r="L30" s="250">
        <f>IF(moutkilos=0,"",moutkilos+mashwater)</f>
        <v>25.155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4"/>
      <c r="H31" s="531"/>
      <c r="I31" s="532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6">
        <f>VLOOKUP(hop6,'Info-Tabellen'!$R:$V,3,0)</f>
        <v>0</v>
      </c>
      <c r="AC31" s="496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5"/>
      <c r="H32" s="531"/>
      <c r="I32" s="532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6"/>
      <c r="AC32" s="496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5.958811337529845</v>
      </c>
      <c r="F33" s="95" t="s">
        <v>29</v>
      </c>
      <c r="G33" s="419" t="s">
        <v>609</v>
      </c>
      <c r="H33" s="96"/>
      <c r="I33" s="96"/>
      <c r="L33" s="98">
        <f>$L$22/6.5</f>
        <v>3.1510252661057425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1017.3310057761403</v>
      </c>
      <c r="C34" s="101">
        <f>IF(mashplato&lt;13.4,3,mashplato*mashplato/58)</f>
        <v>4.5418115653454585</v>
      </c>
      <c r="D34" s="102">
        <f>C34*1.035</f>
        <v>4.700774970132549</v>
      </c>
      <c r="F34" s="12"/>
      <c r="G34" s="537" t="s">
        <v>641</v>
      </c>
      <c r="H34" s="538"/>
      <c r="I34" s="539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1" t="s">
        <v>34</v>
      </c>
      <c r="AC34" s="521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7" t="s">
        <v>41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0" t="str">
        <f>VLOOKUP(G35,'Info-Tabellen'!$AD:$AF,3,0)</f>
        <v>-</v>
      </c>
      <c r="AC35" s="510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f>5/8*Gewenste_liters</f>
        <v>9.375</v>
      </c>
      <c r="D36" s="362">
        <v>10.2</v>
      </c>
      <c r="E36" s="353">
        <v>15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15.859515969981544</v>
      </c>
      <c r="G36" s="507" t="s">
        <v>41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0.02503125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1" t="str">
        <f>VLOOKUP(G36,'Info-Tabellen'!$AD:$AF,3,0)</f>
        <v>-</v>
      </c>
      <c r="AC36" s="511"/>
      <c r="AD36" s="2"/>
      <c r="AR36" s="427"/>
      <c r="AS36" s="427"/>
      <c r="AT36" s="2"/>
    </row>
    <row r="37" spans="1:46" ht="12" customHeight="1">
      <c r="A37" s="121" t="s">
        <v>216</v>
      </c>
      <c r="B37" s="122" t="s">
        <v>43</v>
      </c>
      <c r="C37" s="123">
        <f>20/8*Gewenste_liters</f>
        <v>37.5</v>
      </c>
      <c r="D37" s="363">
        <v>5.3</v>
      </c>
      <c r="E37" s="124">
        <v>55</v>
      </c>
      <c r="F37" s="125">
        <f t="shared" si="10"/>
        <v>18.406326334926934</v>
      </c>
      <c r="G37" s="507" t="s">
        <v>41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0.225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0" t="str">
        <f>VLOOKUP(G37,'Info-Tabellen'!$AD:$AF,3,0)</f>
        <v>-</v>
      </c>
      <c r="AC37" s="510"/>
      <c r="AD37" s="2"/>
      <c r="AR37" s="427"/>
      <c r="AS37" s="427"/>
      <c r="AT37" s="2"/>
    </row>
    <row r="38" spans="1:52" ht="12" customHeight="1">
      <c r="A38" s="113" t="s">
        <v>42</v>
      </c>
      <c r="B38" s="114" t="s">
        <v>43</v>
      </c>
      <c r="C38" s="115"/>
      <c r="D38" s="362">
        <f>VLOOKUP(hop3,'Info-Tabellen'!$R:$T,2,0)</f>
        <v>0</v>
      </c>
      <c r="E38" s="117"/>
      <c r="F38" s="118">
        <f t="shared" si="10"/>
      </c>
      <c r="G38" s="507" t="s">
        <v>41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1" t="str">
        <f>VLOOKUP(G38,'Info-Tabellen'!$AD:$AF,3,0)</f>
        <v>-</v>
      </c>
      <c r="AC38" s="511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7" t="s">
        <v>41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0" t="str">
        <f>VLOOKUP(G39,'Info-Tabellen'!$AD:$AF,3,0)</f>
        <v>-</v>
      </c>
      <c r="AC39" s="510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7" t="s">
        <v>41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1" t="str">
        <f>VLOOKUP(G40,'Info-Tabellen'!$AD:$AF,3,0)</f>
        <v>-</v>
      </c>
      <c r="AC40" s="511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7" t="s">
        <v>41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0" t="str">
        <f>VLOOKUP(G41,'Info-Tabellen'!$AD:$AF,3,0)</f>
        <v>-</v>
      </c>
      <c r="AC41" s="510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7" t="s">
        <v>41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1" t="str">
        <f>VLOOKUP(G42,'Info-Tabellen'!$AD:$AF,3,0)</f>
        <v>-</v>
      </c>
      <c r="AC42" s="511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4" t="s">
        <v>48</v>
      </c>
      <c r="E43" s="525"/>
      <c r="F43" s="321">
        <f>SUM(F36:F42)</f>
        <v>34.265842304908475</v>
      </c>
      <c r="G43" s="507" t="s">
        <v>41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1.6500312499999998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0" t="str">
        <f>VLOOKUP(G43,'Info-Tabellen'!$AD:$AF,3,0)</f>
        <v>-</v>
      </c>
      <c r="AC43" s="510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50</v>
      </c>
      <c r="I44" s="141">
        <v>19</v>
      </c>
      <c r="M44" s="23"/>
      <c r="N44" s="398" t="s">
        <v>51</v>
      </c>
      <c r="O44" s="481">
        <f>verkookpercent/100*Kooktijd/60*$L$27</f>
        <v>2.735157774732533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1.0827360736932665</v>
      </c>
      <c r="H45" s="149">
        <v>0</v>
      </c>
      <c r="I45" s="149"/>
      <c r="J45" s="151">
        <f>IF(Stamplato="","",IF(Eindcijfer="","",0.1808*Stamplato+0.8192*Eindplato))</f>
        <v>7.720257573414537</v>
      </c>
      <c r="L45" s="150">
        <f>IF(Stamwort="","",1+(Stamplato/(258.6-0.87955*Stamplato)))</f>
        <v>1.0827472046304942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f>1071+K10-1000</f>
        <v>1082.7360736932665</v>
      </c>
      <c r="D46" s="157">
        <f>IF(Stamwort="","SG",IF(meter="S.G.",Stamwort,IF(meter="°Plato",(0.0000152482628*Stamwort*Stamwort+0.0038422807854*Stamwort+1.0000602058824)*1000,IF(meter="Brix",259/(259.12955-Stamplato)*1000))))</f>
        <v>1082.7360736932665</v>
      </c>
      <c r="E46" s="527">
        <f>IF(Stamwort="","°Plato",IF(meter="°Plato",Stamwort,IF(meter="S.G.",(164.22197*$G$45*$G$45*$G$45-717.63578*$G$45*$G$45+1201.22307*$G$45-647.81258),IF(meter="Brix",Stamwort/Brixratio))))</f>
        <v>19.946700215314422</v>
      </c>
      <c r="F46" s="527"/>
      <c r="G46" s="528">
        <f>IF(Stamwort="","Brix",IF(meter="Brix",Stamwort,IF(meter="°Plato",Stamwort*Brixratio,IF(meter="S.G.",Stamplato*Brixratio))))</f>
        <v>20.307148382543794</v>
      </c>
      <c r="H46" s="528"/>
      <c r="K46" s="483" t="s">
        <v>690</v>
      </c>
      <c r="L46" s="158">
        <v>9</v>
      </c>
      <c r="M46" s="23"/>
      <c r="N46" s="407" t="s">
        <v>55</v>
      </c>
      <c r="O46" s="478">
        <f>verkookwater+hopverlies</f>
        <v>4.385189024732533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>
        <v>13</v>
      </c>
      <c r="I47" s="286" t="s">
        <v>597</v>
      </c>
      <c r="K47" s="529"/>
      <c r="L47" s="529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708</v>
      </c>
      <c r="G48" s="19" t="s">
        <v>60</v>
      </c>
      <c r="H48" s="155" t="s">
        <v>705</v>
      </c>
      <c r="I48" s="266"/>
      <c r="K48" s="166" t="s">
        <v>598</v>
      </c>
      <c r="L48" s="156">
        <v>1044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6.595453004564946</v>
      </c>
      <c r="F49" s="167">
        <f>IF(ISNUMBER(alconalager),12-(alconalager*100/1.97),"")</f>
        <v>7.70081287543568</v>
      </c>
      <c r="G49" s="490">
        <f>IF(Eindcijfer="","°Plato",IF(meternadien="°Plato",Eindcijfer,IF(meternadien="S.G.",(259*Eindcijfer/1000-259)/(Eindcijfer/1000-0.0089),Eindcijfer/1.03)))</f>
        <v>11.009564293305008</v>
      </c>
      <c r="H49" s="540">
        <f>IF(Eindcijfer="","Brix",IF(meternadien="Brix",Eindcijfer,IF(meternadien="°Plato",Eindcijfer*Brixratio,IF(meternadien="S.G.",VLeindplato*Brixratio))))</f>
        <v>11.208513353985678</v>
      </c>
      <c r="I49" s="540"/>
      <c r="J49" s="540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1044</v>
      </c>
      <c r="L49" s="487">
        <f>IF(alconalager="","",IF(kleur&gt;107,6,((35000-(kleur^2))/3888)))</f>
        <v>8.992939320907075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5.021843474713977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1019.5967603508984</v>
      </c>
      <c r="F50" s="172"/>
      <c r="J50" s="134" t="s">
        <v>62</v>
      </c>
      <c r="K50" s="173">
        <f>IF(Totaalkg=0,"",IF(Bekomenliter="","",IF(Stamwort="","",StamSG/1000*Bekomenliter*totplato/(Totaalkg)/100)))</f>
        <v>0.37484398833345106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0.7631412819569982</v>
      </c>
      <c r="C51" s="176" t="s">
        <v>64</v>
      </c>
      <c r="E51" s="177"/>
      <c r="F51" s="175">
        <f>IF(Eindcijfer="","",IF(Stamplato="","",(Stamplato-Restextract)/Stamplato))</f>
        <v>0.6129556523094895</v>
      </c>
      <c r="G51" s="178">
        <f>IF(alcogewicht="","",IF(Eindcijfer="","",IF(Bekomenliter="","",EindSG/1000*alcogewicht/0.794/100)))</f>
        <v>0.08469398635391709</v>
      </c>
      <c r="H51" s="179" t="s">
        <v>24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1.0354322039634707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7</v>
      </c>
      <c r="D52" s="186" t="s">
        <v>66</v>
      </c>
      <c r="E52" s="187">
        <v>23</v>
      </c>
      <c r="F52"/>
      <c r="G52" s="188" t="s">
        <v>67</v>
      </c>
      <c r="H52" s="189">
        <v>3</v>
      </c>
      <c r="I52" s="287"/>
      <c r="J52" s="19" t="s">
        <v>629</v>
      </c>
      <c r="K52" s="523"/>
      <c r="L52" s="523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6" t="s">
        <v>69</v>
      </c>
      <c r="C53" s="526"/>
      <c r="F53" s="134" t="s">
        <v>70</v>
      </c>
      <c r="G53" s="60" t="s">
        <v>570</v>
      </c>
      <c r="J53" s="134" t="s">
        <v>71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7</v>
      </c>
      <c r="C54" s="192" t="s">
        <v>73</v>
      </c>
      <c r="D54" s="193">
        <f>IF(Eindcijfer="","",IF(adviessuiker="","",suikergift*Bekomenliter))</f>
        <v>63</v>
      </c>
      <c r="F54" s="195">
        <f>IF(Eindcijfer="","",IF(adviessuiker-nietvergist&lt;0,"GEEN",suikergift-nietvergist))</f>
        <v>5.96456779603653</v>
      </c>
      <c r="G54" s="194"/>
      <c r="H54" s="289" t="s">
        <v>74</v>
      </c>
      <c r="I54" s="196">
        <f>IF(Eindcijfer="","",IF(adviessuiker-nietvergist&lt;0,"",(suikergift-nietvergist)*Bekomenliter))</f>
        <v>53.68111016432877</v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0.08893641059634133</v>
      </c>
      <c r="C55" s="199"/>
      <c r="D55" s="200" t="s">
        <v>76</v>
      </c>
      <c r="E55" s="522">
        <f>IF($B$55="","",IF(Botdatum="","",IF($B$55*100&lt;5,((($B$55*100)-5)*30)+215+Botdatum,((($B$55*100)-5)*130)+215+Botdatum)))</f>
      </c>
      <c r="F55" s="522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v>7.1</v>
      </c>
      <c r="D57" s="493" t="s">
        <v>707</v>
      </c>
      <c r="E57" s="503">
        <f>ROUNDDOWN(B57/0.33/24,0)</f>
        <v>0</v>
      </c>
      <c r="F57" s="504"/>
      <c r="G57" s="505">
        <f>((B57/0.33/24)-E57)*24</f>
        <v>21.515151515151512</v>
      </c>
      <c r="H57" s="506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6" t="s">
        <v>638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2014-01-10T06:24:59Z</cp:lastPrinted>
  <dcterms:created xsi:type="dcterms:W3CDTF">2012-01-16T16:44:29Z</dcterms:created>
  <dcterms:modified xsi:type="dcterms:W3CDTF">2014-01-10T09:10:43Z</dcterms:modified>
  <cp:category/>
  <cp:version/>
  <cp:contentType/>
  <cp:contentStatus/>
</cp:coreProperties>
</file>